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M:\DatosComunDivision\03. RD PLAN RECUPERACION\12.2 REPOTEN 2\2.ANEXOS CONVOCATORIA\"/>
    </mc:Choice>
  </mc:AlternateContent>
  <xr:revisionPtr revIDLastSave="0" documentId="13_ncr:1_{F087562F-864B-452B-9193-C9A1CC113E09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Instrucciones" sheetId="10" r:id="rId1"/>
    <sheet name="Cálculos" sheetId="11" r:id="rId2"/>
    <sheet name="Valores de referencia" sheetId="9" r:id="rId3"/>
    <sheet name="Listas" sheetId="7" state="hidden" r:id="rId4"/>
  </sheets>
  <externalReferences>
    <externalReference r:id="rId5"/>
  </externalReferences>
  <definedNames>
    <definedName name="InicioTablaMaxPresupuesto">'[1]Selec Lim Max Presupuesto'!$A$14</definedName>
    <definedName name="InicioTablaMaxPresupuesto_dos">'[1]Selec Lim Max Presupuesto_2'!$A$14</definedName>
    <definedName name="InicioTablaResultadoFINAL">[1]Resultado_FINAL!$A$14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3" i="11" l="1"/>
  <c r="E13" i="11"/>
  <c r="I13" i="11"/>
  <c r="I16" i="11" s="1" a="1"/>
  <c r="I16" i="11" s="1"/>
  <c r="I4" i="11"/>
  <c r="J13" i="11"/>
  <c r="J15" i="11" a="1"/>
  <c r="J15" i="11" s="1"/>
  <c r="I15" i="11" a="1"/>
  <c r="I15" i="11" s="1"/>
  <c r="J12" i="11" a="1"/>
  <c r="J12" i="11" s="1"/>
  <c r="I12" i="11" a="1"/>
  <c r="I12" i="11" s="1"/>
  <c r="E15" i="11"/>
  <c r="D15" i="11" a="1"/>
  <c r="D15" i="11" s="1"/>
  <c r="C15" i="11" a="1"/>
  <c r="C15" i="11" s="1"/>
  <c r="E12" i="11" a="1"/>
  <c r="E12" i="11" s="1"/>
  <c r="C12" i="11" a="1"/>
  <c r="C12" i="11" s="1"/>
  <c r="E8" i="11"/>
  <c r="D8" i="11" a="1"/>
  <c r="D8" i="11" s="1"/>
  <c r="C8" i="11" a="1"/>
  <c r="C8" i="11" s="1"/>
  <c r="J8" i="11" a="1"/>
  <c r="J8" i="11" s="1"/>
  <c r="I8" i="11" a="1"/>
  <c r="I8" i="11" s="1"/>
  <c r="E4" i="11"/>
  <c r="C4" i="11"/>
  <c r="J9" i="11" l="1"/>
  <c r="I9" i="11"/>
  <c r="C9" i="11"/>
  <c r="D9" i="11"/>
  <c r="E9" i="11"/>
  <c r="B15" i="9" l="1"/>
  <c r="B14" i="9"/>
  <c r="I2" i="11" l="1" a="1"/>
  <c r="I2" i="11" s="1"/>
  <c r="C2" i="11" a="1"/>
  <c r="C2" i="11" s="1"/>
  <c r="E5" i="11"/>
  <c r="C16" i="11"/>
  <c r="J16" i="11" l="1" a="1"/>
  <c r="J16" i="11" s="1"/>
  <c r="D16" i="11" a="1"/>
  <c r="D16" i="11" s="1"/>
  <c r="E16" i="11" l="1"/>
  <c r="D19" i="11" s="1" a="1"/>
  <c r="D19" i="11" s="1"/>
  <c r="C19" i="11" l="1" a="1"/>
  <c r="C19" i="1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<sst xmlns="http://schemas.openxmlformats.org/spreadsheetml/2006/main" count="36" uniqueCount="33">
  <si>
    <t>SÍ</t>
  </si>
  <si>
    <t>NO</t>
  </si>
  <si>
    <t>PROGRAMA 1</t>
  </si>
  <si>
    <t>PROGRAMA 2</t>
  </si>
  <si>
    <t>C1</t>
  </si>
  <si>
    <t>C2</t>
  </si>
  <si>
    <t>C3</t>
  </si>
  <si>
    <t>C4</t>
  </si>
  <si>
    <t>C5</t>
  </si>
  <si>
    <t>C6</t>
  </si>
  <si>
    <t>MEDIANA</t>
  </si>
  <si>
    <t>PEQUEÑA</t>
  </si>
  <si>
    <t>NO APLICA</t>
  </si>
  <si>
    <t>OBJETO DE ESTE ARCHIVO EXCEL</t>
  </si>
  <si>
    <t>Valores de referencia para el cálculo de la ayuda</t>
  </si>
  <si>
    <t>Coste subvencionable unitario máximo (Csum) 
(€/MW) / (€/MWh) / (€/ton-año)</t>
  </si>
  <si>
    <t>Ayuda adicional</t>
  </si>
  <si>
    <t>Pot max P2 para cálculo ayuda (MW)</t>
  </si>
  <si>
    <t>SI</t>
  </si>
  <si>
    <t>P2 - Renovación de minicentrales hidroeléctricas</t>
  </si>
  <si>
    <t>P1 - Repotenciación de instalaciones eólicas</t>
  </si>
  <si>
    <t>Intensidad de ayuda base</t>
  </si>
  <si>
    <t>(1) Reducción sobre la ayuda máxima
Puntuación = puntos máximos asignados a este criterio x [ayuda máxima del proyecto (€) – ayuda solicitada del proyecto (€)] / ayuda máxima del proyecto (€)
Redondeado a dos decimales.</t>
  </si>
  <si>
    <t>Máxima valoración Criterio Económico (1)</t>
  </si>
  <si>
    <t>INSTRUCCIONES DE UTILIZACIÓN</t>
  </si>
  <si>
    <r>
      <t xml:space="preserve">La ayuda  debe calcularse de acuerdo con lo estipulado en las bases reguladoras y en la resolución de convocatoria, en particular de acuerdo con la metodología explicada en el Artículo 16 de las bases y en los Anexo I y V de la convocatoria. En este archivo Excel se han incluido las fórmulas destinadas a realizar los cálculos recogidos en dichas disposiciones. </t>
    </r>
    <r>
      <rPr>
        <b/>
        <u/>
        <sz val="11"/>
        <color theme="1"/>
        <rFont val="Calibri"/>
        <family val="2"/>
        <scheme val="minor"/>
      </rPr>
      <t>No obstante, en caso de discrepancia entre los cálculos y fórmulas contenidos en este archivo Excel y las bases reguladoras y/o resolución de convocatoria, deben aplicarse los contenidos en estos dos últimos documentos</t>
    </r>
    <r>
      <rPr>
        <sz val="11"/>
        <color theme="1"/>
        <rFont val="Calibri"/>
        <family val="2"/>
        <scheme val="minor"/>
      </rPr>
      <t>.</t>
    </r>
  </si>
  <si>
    <t>Límite ayuda total concedida (Reglamento (UE) nº 651/2014)</t>
  </si>
  <si>
    <t>Instalación de almacenamiento</t>
  </si>
  <si>
    <t>El objeto de este archivo Excel es proporcionar una herramienta que permita facilitar los cálculos relativos a las ayudas solicitadas de acuerdo con lo estipulado en la Orden TED/1071/2022, de 8 de noviembre del Ministerio para la Transición Ecológica y el Reto Demográfico, modificada por la Orden TED/1444/2025, de 11 de diciembre; así como en la Resolución de 23 de diciembre de 2025 del Instituto para la Diversificación y Ahorro de la Energía, por la que se realiza la segunda convocatoria de los Programas “Repotenciación Circular” para la concesión de ayudas a la inversión en la repotenciación de instalaciones eólicas y en la renovación tecnológica y medioambiental de minicentrales hidroeléctricas de hasta 50 MW, en el marco del Plan de Recuperación, Transformación y Resiliencia – Financiado por la Unión Europea –NextGenerationEU (PRTR - REPOTEN 2)</t>
  </si>
  <si>
    <r>
      <t xml:space="preserve">En concreto, este archivo facilita:
1) El </t>
    </r>
    <r>
      <rPr>
        <b/>
        <u/>
        <sz val="11"/>
        <color theme="1"/>
        <rFont val="Calibri"/>
        <family val="2"/>
        <scheme val="minor"/>
      </rPr>
      <t>cálculo de la ayuda máxima</t>
    </r>
    <r>
      <rPr>
        <sz val="11"/>
        <color theme="1"/>
        <rFont val="Calibri"/>
        <family val="2"/>
        <scheme val="minor"/>
      </rPr>
      <t>, para así poder adecuar la ayuda solicitada en función de la misma, ya que, como se determina en el Anexo I.1 de la convocatoria "</t>
    </r>
    <r>
      <rPr>
        <i/>
        <sz val="11"/>
        <color theme="1"/>
        <rFont val="Calibri"/>
        <family val="2"/>
        <scheme val="minor"/>
      </rPr>
      <t>La ayuda solicitada de generación con o sin almacenamiento deberá ser igual o inferior a la suma de la ayuda máxima de generación y, en su caso, de la ayuda máxima de almacenamiento.</t>
    </r>
    <r>
      <rPr>
        <sz val="11"/>
        <color theme="1"/>
        <rFont val="Calibri"/>
        <family val="2"/>
        <scheme val="minor"/>
      </rPr>
      <t xml:space="preserve">".
2) El </t>
    </r>
    <r>
      <rPr>
        <b/>
        <u/>
        <sz val="11"/>
        <color theme="1"/>
        <rFont val="Calibri"/>
        <family val="2"/>
        <scheme val="minor"/>
      </rPr>
      <t xml:space="preserve">cálculo de la valoración del criterio económico </t>
    </r>
    <r>
      <rPr>
        <sz val="11"/>
        <color theme="1"/>
        <rFont val="Calibri"/>
        <family val="2"/>
        <scheme val="minor"/>
      </rPr>
      <t>en función de la ayuda solicitada y la ayuda máxima, de acuerdo con lo estipulado en el Anexo V de la resolución de convocatoria, a saber, "</t>
    </r>
    <r>
      <rPr>
        <i/>
        <sz val="11"/>
        <color theme="1"/>
        <rFont val="Calibri"/>
        <family val="2"/>
        <scheme val="minor"/>
      </rPr>
      <t>Reducción sobre la ayuda máxima. Puntuación = puntos máximos asignados a este criterio x [ayuda máxima del proyecto (€) – ayuda solicitada del proyecto (€)] / ayuda máxima del proyecto (€). Redondeado a dos decimales</t>
    </r>
    <r>
      <rPr>
        <sz val="11"/>
        <color theme="1"/>
        <rFont val="Calibri"/>
        <family val="2"/>
        <scheme val="minor"/>
      </rPr>
      <t>".</t>
    </r>
  </si>
  <si>
    <r>
      <t>Este archivo incluye tres pestañas:
1) "</t>
    </r>
    <r>
      <rPr>
        <b/>
        <sz val="11"/>
        <color theme="1"/>
        <rFont val="Calibri"/>
        <family val="2"/>
        <scheme val="minor"/>
      </rPr>
      <t>Instrucciones</t>
    </r>
    <r>
      <rPr>
        <sz val="11"/>
        <color theme="1"/>
        <rFont val="Calibri"/>
        <family val="2"/>
        <scheme val="minor"/>
      </rPr>
      <t>": se explica el objeto e instrucciones a seguir para la realización de los cálculos
2) "</t>
    </r>
    <r>
      <rPr>
        <b/>
        <sz val="11"/>
        <color theme="1"/>
        <rFont val="Calibri"/>
        <family val="2"/>
        <scheme val="minor"/>
      </rPr>
      <t>Cálculos</t>
    </r>
    <r>
      <rPr>
        <sz val="11"/>
        <color theme="1"/>
        <rFont val="Calibri"/>
        <family val="2"/>
        <scheme val="minor"/>
      </rPr>
      <t>": contiene las celdas de introducción de datos por parte del solicitante (</t>
    </r>
    <r>
      <rPr>
        <b/>
        <sz val="11"/>
        <color theme="1"/>
        <rFont val="Calibri"/>
        <family val="2"/>
        <scheme val="minor"/>
      </rPr>
      <t>CELDAS CON FONDO GRIS</t>
    </r>
    <r>
      <rPr>
        <sz val="11"/>
        <color theme="1"/>
        <rFont val="Calibri"/>
        <family val="2"/>
        <scheme val="minor"/>
      </rPr>
      <t>), las fórmulas que operan con dichos datos y con los valores de referencia y los resultados de dicho cálculo
3) "</t>
    </r>
    <r>
      <rPr>
        <b/>
        <sz val="11"/>
        <color theme="1"/>
        <rFont val="Calibri"/>
        <family val="2"/>
        <scheme val="minor"/>
      </rPr>
      <t>Valores de referencia</t>
    </r>
    <r>
      <rPr>
        <sz val="11"/>
        <color theme="1"/>
        <rFont val="Calibri"/>
        <family val="2"/>
        <scheme val="minor"/>
      </rPr>
      <t>": datos utilizados por las fórmulas en la pestaña "Cálculos" provenientes de la resolución de convocatoria</t>
    </r>
  </si>
  <si>
    <r>
      <t xml:space="preserve">En la pestaña "Cálculos":
a) Las celdas modificables para introducción de datos son aquellas con </t>
    </r>
    <r>
      <rPr>
        <b/>
        <u/>
        <sz val="11"/>
        <color theme="1"/>
        <rFont val="Calibri"/>
        <family val="2"/>
        <scheme val="minor"/>
      </rPr>
      <t>color de fondo gris (C6, E6, C10, D10 y E10)</t>
    </r>
    <r>
      <rPr>
        <sz val="11"/>
        <color theme="1"/>
        <rFont val="Calibri"/>
        <family val="2"/>
        <scheme val="minor"/>
      </rPr>
      <t xml:space="preserve">. Para los proyectos que incorporen un sistema de almacenamiento también se deberán introducir datos en las </t>
    </r>
    <r>
      <rPr>
        <b/>
        <u/>
        <sz val="11"/>
        <color theme="1"/>
        <rFont val="Calibri"/>
        <family val="2"/>
        <scheme val="minor"/>
      </rPr>
      <t>celdas I10 y J10</t>
    </r>
    <r>
      <rPr>
        <sz val="11"/>
        <color theme="1"/>
        <rFont val="Calibri"/>
        <family val="2"/>
        <scheme val="minor"/>
      </rPr>
      <t xml:space="preserve">
b) Los resultados aparecerán en las celdas con </t>
    </r>
    <r>
      <rPr>
        <b/>
        <u/>
        <sz val="11"/>
        <color theme="1"/>
        <rFont val="Calibri"/>
        <family val="2"/>
        <scheme val="minor"/>
      </rPr>
      <t>color de fondo verde</t>
    </r>
    <r>
      <rPr>
        <sz val="11"/>
        <color theme="1"/>
        <rFont val="Calibri"/>
        <family val="2"/>
        <scheme val="minor"/>
      </rPr>
      <t xml:space="preserve">:
     - Ayuda máxima en la </t>
    </r>
    <r>
      <rPr>
        <b/>
        <u/>
        <sz val="11"/>
        <color theme="1"/>
        <rFont val="Calibri"/>
        <family val="2"/>
        <scheme val="minor"/>
      </rPr>
      <t>celda E16</t>
    </r>
    <r>
      <rPr>
        <sz val="11"/>
        <color theme="1"/>
        <rFont val="Calibri"/>
        <family val="2"/>
        <scheme val="minor"/>
      </rPr>
      <t xml:space="preserve">
     - Valoración del criterio económico en la </t>
    </r>
    <r>
      <rPr>
        <b/>
        <u/>
        <sz val="11"/>
        <color theme="1"/>
        <rFont val="Calibri"/>
        <family val="2"/>
        <scheme val="minor"/>
      </rPr>
      <t>celda D19</t>
    </r>
    <r>
      <rPr>
        <sz val="11"/>
        <color theme="1"/>
        <rFont val="Calibri"/>
        <family val="2"/>
        <scheme val="minor"/>
      </rPr>
      <t xml:space="preserve">
c) En algunos casos, la </t>
    </r>
    <r>
      <rPr>
        <b/>
        <u/>
        <sz val="11"/>
        <color theme="1"/>
        <rFont val="Calibri"/>
        <family val="2"/>
        <scheme val="minor"/>
      </rPr>
      <t>celda D19</t>
    </r>
    <r>
      <rPr>
        <sz val="11"/>
        <color theme="1"/>
        <rFont val="Calibri"/>
        <family val="2"/>
        <scheme val="minor"/>
      </rPr>
      <t xml:space="preserve"> también mostrará ciertos avisos de valores no admisibles en entrada de datos
d) En relación a la suma de costes elegibles, estos serán los estipulados en el Artículo 9 de las bases reguladoras</t>
    </r>
  </si>
  <si>
    <t>Reto demográfico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</si>
</sst>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3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3" xfId="0" applyBorder="1" applyAlignment="1">
      <alignment horizontal="center" vertical="center"/>
    </xf>
    <xf numFmtId="9" fontId="0" fillId="0" borderId="0" xfId="0" applyNumberFormat="1"/>
    <xf numFmtId="0" fontId="0" fillId="0" borderId="13" xfId="0" applyBorder="1" applyAlignment="1">
      <alignment vertical="center"/>
    </xf>
    <xf numFmtId="0" fontId="0" fillId="0" borderId="0" xfId="0" applyAlignment="1">
      <alignment vertical="center"/>
    </xf>
    <xf numFmtId="0" fontId="5" fillId="2" borderId="15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 wrapText="1"/>
    </xf>
    <xf numFmtId="0" fontId="0" fillId="5" borderId="13" xfId="0" applyFill="1" applyBorder="1" applyAlignment="1">
      <alignment horizontal="center" vertical="center" wrapText="1"/>
    </xf>
    <xf numFmtId="0" fontId="0" fillId="0" borderId="17" xfId="0" applyBorder="1"/>
    <xf numFmtId="0" fontId="0" fillId="0" borderId="24" xfId="0" applyBorder="1"/>
    <xf numFmtId="0" fontId="0" fillId="0" borderId="17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18" xfId="0" applyBorder="1"/>
    <xf numFmtId="0" fontId="0" fillId="0" borderId="21" xfId="0" applyBorder="1"/>
    <xf numFmtId="0" fontId="0" fillId="0" borderId="22" xfId="0" applyBorder="1"/>
    <xf numFmtId="0" fontId="0" fillId="6" borderId="16" xfId="0" applyFill="1" applyBorder="1"/>
    <xf numFmtId="0" fontId="0" fillId="6" borderId="20" xfId="0" applyFill="1" applyBorder="1"/>
    <xf numFmtId="0" fontId="4" fillId="0" borderId="0" xfId="0" applyFont="1" applyAlignment="1">
      <alignment vertical="center" wrapText="1"/>
    </xf>
    <xf numFmtId="3" fontId="0" fillId="3" borderId="15" xfId="0" applyNumberFormat="1" applyFill="1" applyBorder="1" applyAlignment="1" applyProtection="1">
      <alignment horizontal="center" vertical="center"/>
      <protection locked="0"/>
    </xf>
    <xf numFmtId="164" fontId="0" fillId="3" borderId="15" xfId="0" applyNumberFormat="1" applyFill="1" applyBorder="1" applyAlignment="1" applyProtection="1">
      <alignment horizontal="center" vertical="center"/>
      <protection locked="0"/>
    </xf>
    <xf numFmtId="3" fontId="2" fillId="3" borderId="15" xfId="0" applyNumberFormat="1" applyFont="1" applyFill="1" applyBorder="1" applyAlignment="1" applyProtection="1">
      <alignment horizontal="center" vertical="center"/>
      <protection locked="0"/>
    </xf>
    <xf numFmtId="0" fontId="0" fillId="2" borderId="13" xfId="0" applyFill="1" applyBorder="1"/>
    <xf numFmtId="0" fontId="0" fillId="4" borderId="13" xfId="0" applyFill="1" applyBorder="1"/>
    <xf numFmtId="0" fontId="0" fillId="4" borderId="13" xfId="0" applyFill="1" applyBorder="1" applyAlignment="1">
      <alignment vertical="center"/>
    </xf>
    <xf numFmtId="9" fontId="0" fillId="0" borderId="13" xfId="0" applyNumberFormat="1" applyBorder="1" applyAlignment="1">
      <alignment horizontal="center"/>
    </xf>
    <xf numFmtId="43" fontId="0" fillId="0" borderId="0" xfId="2" applyFont="1"/>
    <xf numFmtId="43" fontId="0" fillId="0" borderId="0" xfId="2" applyFont="1" applyAlignment="1">
      <alignment vertical="center"/>
    </xf>
    <xf numFmtId="43" fontId="1" fillId="5" borderId="13" xfId="2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8" borderId="2" xfId="0" applyFill="1" applyBorder="1"/>
    <xf numFmtId="0" fontId="0" fillId="8" borderId="4" xfId="0" applyFill="1" applyBorder="1"/>
    <xf numFmtId="0" fontId="0" fillId="6" borderId="9" xfId="0" applyFill="1" applyBorder="1"/>
    <xf numFmtId="0" fontId="0" fillId="6" borderId="5" xfId="0" applyFill="1" applyBorder="1"/>
    <xf numFmtId="0" fontId="0" fillId="6" borderId="6" xfId="0" applyFill="1" applyBorder="1"/>
    <xf numFmtId="0" fontId="0" fillId="6" borderId="10" xfId="0" applyFill="1" applyBorder="1"/>
    <xf numFmtId="0" fontId="0" fillId="6" borderId="0" xfId="0" applyFill="1" applyAlignment="1">
      <alignment wrapText="1"/>
    </xf>
    <xf numFmtId="0" fontId="0" fillId="6" borderId="11" xfId="0" applyFill="1" applyBorder="1"/>
    <xf numFmtId="0" fontId="0" fillId="6" borderId="0" xfId="0" applyFill="1"/>
    <xf numFmtId="0" fontId="0" fillId="6" borderId="8" xfId="0" applyFill="1" applyBorder="1"/>
    <xf numFmtId="0" fontId="0" fillId="6" borderId="12" xfId="0" applyFill="1" applyBorder="1"/>
    <xf numFmtId="0" fontId="0" fillId="6" borderId="7" xfId="0" applyFill="1" applyBorder="1"/>
    <xf numFmtId="0" fontId="0" fillId="9" borderId="9" xfId="0" applyFill="1" applyBorder="1"/>
    <xf numFmtId="0" fontId="0" fillId="9" borderId="5" xfId="0" applyFill="1" applyBorder="1"/>
    <xf numFmtId="0" fontId="0" fillId="9" borderId="6" xfId="0" applyFill="1" applyBorder="1"/>
    <xf numFmtId="0" fontId="0" fillId="9" borderId="10" xfId="0" applyFill="1" applyBorder="1"/>
    <xf numFmtId="0" fontId="0" fillId="9" borderId="0" xfId="0" applyFill="1" applyAlignment="1">
      <alignment wrapText="1"/>
    </xf>
    <xf numFmtId="0" fontId="0" fillId="9" borderId="11" xfId="0" applyFill="1" applyBorder="1"/>
    <xf numFmtId="0" fontId="0" fillId="9" borderId="0" xfId="0" applyFill="1"/>
    <xf numFmtId="0" fontId="0" fillId="9" borderId="8" xfId="0" applyFill="1" applyBorder="1"/>
    <xf numFmtId="0" fontId="0" fillId="9" borderId="12" xfId="0" applyFill="1" applyBorder="1"/>
    <xf numFmtId="0" fontId="0" fillId="9" borderId="7" xfId="0" applyFill="1" applyBorder="1"/>
    <xf numFmtId="0" fontId="7" fillId="8" borderId="3" xfId="0" applyFont="1" applyFill="1" applyBorder="1" applyAlignment="1">
      <alignment horizontal="center" vertical="center"/>
    </xf>
    <xf numFmtId="2" fontId="4" fillId="0" borderId="0" xfId="0" applyNumberFormat="1" applyFont="1" applyAlignment="1">
      <alignment vertical="center" wrapText="1"/>
    </xf>
    <xf numFmtId="2" fontId="4" fillId="0" borderId="4" xfId="0" applyNumberFormat="1" applyFont="1" applyBorder="1" applyAlignment="1">
      <alignment vertical="center" wrapText="1"/>
    </xf>
    <xf numFmtId="0" fontId="8" fillId="0" borderId="3" xfId="0" applyFont="1" applyBorder="1" applyAlignment="1">
      <alignment horizontal="center" vertical="center" wrapText="1"/>
    </xf>
    <xf numFmtId="3" fontId="0" fillId="0" borderId="13" xfId="0" applyNumberFormat="1" applyBorder="1" applyAlignment="1">
      <alignment horizontal="center" vertical="center"/>
    </xf>
    <xf numFmtId="3" fontId="0" fillId="3" borderId="18" xfId="0" applyNumberFormat="1" applyFill="1" applyBorder="1" applyAlignment="1" applyProtection="1">
      <alignment horizontal="center" vertical="center"/>
      <protection locked="0"/>
    </xf>
    <xf numFmtId="0" fontId="2" fillId="2" borderId="16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164" fontId="0" fillId="3" borderId="13" xfId="0" applyNumberFormat="1" applyFill="1" applyBorder="1" applyAlignment="1" applyProtection="1">
      <alignment horizontal="center" vertical="center"/>
      <protection locked="0"/>
    </xf>
    <xf numFmtId="0" fontId="0" fillId="3" borderId="15" xfId="0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vertical="center" wrapText="1"/>
    </xf>
    <xf numFmtId="3" fontId="0" fillId="0" borderId="13" xfId="0" applyNumberFormat="1" applyBorder="1" applyAlignment="1">
      <alignment horizontal="center"/>
    </xf>
    <xf numFmtId="3" fontId="0" fillId="0" borderId="13" xfId="0" applyNumberFormat="1" applyBorder="1" applyAlignment="1" applyProtection="1">
      <alignment horizontal="center" vertical="center"/>
      <protection hidden="1"/>
    </xf>
    <xf numFmtId="9" fontId="0" fillId="0" borderId="15" xfId="1" applyFont="1" applyBorder="1" applyAlignment="1" applyProtection="1">
      <alignment horizontal="center" vertical="center"/>
      <protection hidden="1"/>
    </xf>
    <xf numFmtId="9" fontId="0" fillId="0" borderId="13" xfId="1" applyFont="1" applyBorder="1" applyAlignment="1" applyProtection="1">
      <alignment horizontal="center" vertical="center"/>
      <protection hidden="1"/>
    </xf>
    <xf numFmtId="3" fontId="0" fillId="0" borderId="15" xfId="0" applyNumberFormat="1" applyBorder="1" applyAlignment="1" applyProtection="1">
      <alignment horizontal="center" vertical="center"/>
      <protection hidden="1"/>
    </xf>
    <xf numFmtId="3" fontId="0" fillId="0" borderId="18" xfId="0" applyNumberFormat="1" applyBorder="1" applyAlignment="1" applyProtection="1">
      <alignment horizontal="center" vertical="center"/>
      <protection hidden="1"/>
    </xf>
    <xf numFmtId="3" fontId="2" fillId="7" borderId="25" xfId="0" applyNumberFormat="1" applyFont="1" applyFill="1" applyBorder="1" applyAlignment="1" applyProtection="1">
      <alignment horizontal="center" vertical="center"/>
      <protection hidden="1"/>
    </xf>
    <xf numFmtId="0" fontId="0" fillId="0" borderId="13" xfId="0" applyBorder="1"/>
    <xf numFmtId="0" fontId="2" fillId="0" borderId="1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3" fillId="6" borderId="19" xfId="0" applyFont="1" applyFill="1" applyBorder="1" applyAlignment="1">
      <alignment horizontal="center"/>
    </xf>
    <xf numFmtId="2" fontId="8" fillId="0" borderId="3" xfId="0" applyNumberFormat="1" applyFont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3" borderId="23" xfId="0" applyFill="1" applyBorder="1" applyAlignment="1" applyProtection="1">
      <alignment horizontal="center" vertical="center" wrapText="1"/>
      <protection locked="0"/>
    </xf>
    <xf numFmtId="0" fontId="0" fillId="5" borderId="13" xfId="0" applyFill="1" applyBorder="1" applyAlignment="1">
      <alignment horizontal="center" vertical="center" wrapText="1"/>
    </xf>
    <xf numFmtId="3" fontId="0" fillId="0" borderId="13" xfId="0" applyNumberForma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 wrapText="1"/>
    </xf>
    <xf numFmtId="0" fontId="0" fillId="5" borderId="14" xfId="0" applyFill="1" applyBorder="1" applyAlignment="1">
      <alignment horizontal="center" vertical="center" wrapText="1"/>
    </xf>
    <xf numFmtId="0" fontId="0" fillId="5" borderId="15" xfId="0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/>
    </xf>
    <xf numFmtId="0" fontId="2" fillId="3" borderId="23" xfId="0" applyFont="1" applyFill="1" applyBorder="1" applyAlignment="1">
      <alignment horizontal="center"/>
    </xf>
  </cellXfs>
  <cellStyles count="3">
    <cellStyle name="Millares" xfId="2" builtinId="3"/>
    <cellStyle name="Normal" xfId="0" builtinId="0"/>
    <cellStyle name="Porcentaje" xfId="1" builtinId="5"/>
  </cellStyles>
  <dxfs count="13">
    <dxf>
      <font>
        <color theme="0"/>
      </font>
      <fill>
        <patternFill>
          <bgColor theme="0"/>
        </patternFill>
      </fill>
      <border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M:\DatosDepartamento\E%20O%20L%20I%20C%20A\FEDER%20IDAE%202014-2020\2020%20FEDER%20Eol%20Canarias\EVALUACION\EOLCAN2%20-%20%20Evaluacion.xlsm" TargetMode="External"/><Relationship Id="rId1" Type="http://schemas.openxmlformats.org/officeDocument/2006/relationships/externalLinkPath" Target="/DatosDepartamento/E%20O%20L%20I%20C%20A/FEDER%20IDAE%202014-2020/2020%20FEDER%20Eol%20Canarias/EVALUACION/EOLCAN2%20-%20%20Evaluacio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UMEN RESULTADO"/>
      <sheetName val="RESUMEN RESULTADO - UNA RONDA"/>
      <sheetName val="Evaluacion"/>
      <sheetName val="Evaluacion_2"/>
      <sheetName val="Selec Pot Max Isla"/>
      <sheetName val="Selec Pot Max Isla_2"/>
      <sheetName val="Selec Lim Max Presupuesto"/>
      <sheetName val="Selec Lim Max Presupuesto_2"/>
      <sheetName val="Selec Lim Max Presupuesto_FINAL"/>
      <sheetName val="Resultado_FINAL"/>
      <sheetName val="ACTA 1"/>
      <sheetName val="ACTA 1 odt"/>
      <sheetName val="ACTA 2"/>
      <sheetName val="ACTA 2 odt"/>
      <sheetName val="Res Provisional_FINAL"/>
      <sheetName val="ACTA 3 odt"/>
      <sheetName val="Res Provisional_FINAL odt"/>
      <sheetName val="Res Definitiva_FINAL"/>
      <sheetName val="Res Definitiva_FINAL odt"/>
      <sheetName val="Poligonal vs UTM recurso"/>
      <sheetName val="Control"/>
      <sheetName val="Leyenda"/>
      <sheetName val="Res Provisional"/>
      <sheetName val="Res Provisional_2"/>
      <sheetName val="Res Definitiva"/>
      <sheetName val="Res Definitiva_2"/>
      <sheetName val="Motivos de rechazo"/>
      <sheetName val="Ptos almacenamien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4">
          <cell r="A14" t="str">
            <v>ID</v>
          </cell>
        </row>
      </sheetData>
      <sheetData sheetId="7">
        <row r="14">
          <cell r="A14" t="str">
            <v>ID</v>
          </cell>
        </row>
      </sheetData>
      <sheetData sheetId="8" refreshError="1"/>
      <sheetData sheetId="9">
        <row r="14">
          <cell r="A14" t="str">
            <v>ID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CB256-AA37-48E0-BD4C-6EB766E3474C}">
  <dimension ref="B1:D18"/>
  <sheetViews>
    <sheetView showGridLines="0" zoomScale="85" zoomScaleNormal="85" workbookViewId="0"/>
  </sheetViews>
  <sheetFormatPr baseColWidth="10" defaultRowHeight="15" x14ac:dyDescent="0.25"/>
  <cols>
    <col min="1" max="1" width="12.85546875" customWidth="1"/>
    <col min="2" max="2" width="2.7109375" customWidth="1"/>
    <col min="3" max="3" width="194.42578125" customWidth="1"/>
    <col min="4" max="4" width="2.7109375" customWidth="1"/>
    <col min="5" max="5" width="13.7109375" customWidth="1"/>
  </cols>
  <sheetData>
    <row r="1" spans="2:4" ht="15.75" thickBot="1" x14ac:dyDescent="0.3"/>
    <row r="2" spans="2:4" ht="19.5" thickBot="1" x14ac:dyDescent="0.3">
      <c r="B2" s="34"/>
      <c r="C2" s="56" t="s">
        <v>13</v>
      </c>
      <c r="D2" s="35"/>
    </row>
    <row r="3" spans="2:4" ht="15.75" thickBot="1" x14ac:dyDescent="0.3"/>
    <row r="4" spans="2:4" x14ac:dyDescent="0.25">
      <c r="B4" s="36"/>
      <c r="C4" s="37"/>
      <c r="D4" s="38"/>
    </row>
    <row r="5" spans="2:4" ht="75" x14ac:dyDescent="0.25">
      <c r="B5" s="39"/>
      <c r="C5" s="40" t="s">
        <v>28</v>
      </c>
      <c r="D5" s="41"/>
    </row>
    <row r="6" spans="2:4" x14ac:dyDescent="0.25">
      <c r="B6" s="39"/>
      <c r="C6" s="40"/>
      <c r="D6" s="41"/>
    </row>
    <row r="7" spans="2:4" ht="75" x14ac:dyDescent="0.25">
      <c r="B7" s="39"/>
      <c r="C7" s="40" t="s">
        <v>29</v>
      </c>
      <c r="D7" s="41"/>
    </row>
    <row r="8" spans="2:4" x14ac:dyDescent="0.25">
      <c r="B8" s="39"/>
      <c r="C8" s="42"/>
      <c r="D8" s="41"/>
    </row>
    <row r="9" spans="2:4" ht="45" x14ac:dyDescent="0.25">
      <c r="B9" s="39"/>
      <c r="C9" s="40" t="s">
        <v>25</v>
      </c>
      <c r="D9" s="41"/>
    </row>
    <row r="10" spans="2:4" ht="15.75" thickBot="1" x14ac:dyDescent="0.3">
      <c r="B10" s="43"/>
      <c r="C10" s="44"/>
      <c r="D10" s="45"/>
    </row>
    <row r="11" spans="2:4" ht="15.75" thickBot="1" x14ac:dyDescent="0.3"/>
    <row r="12" spans="2:4" ht="19.5" thickBot="1" x14ac:dyDescent="0.3">
      <c r="B12" s="34"/>
      <c r="C12" s="56" t="s">
        <v>24</v>
      </c>
      <c r="D12" s="35"/>
    </row>
    <row r="13" spans="2:4" ht="15.75" thickBot="1" x14ac:dyDescent="0.3"/>
    <row r="14" spans="2:4" x14ac:dyDescent="0.25">
      <c r="B14" s="46"/>
      <c r="C14" s="47"/>
      <c r="D14" s="48"/>
    </row>
    <row r="15" spans="2:4" ht="75" x14ac:dyDescent="0.25">
      <c r="B15" s="49"/>
      <c r="C15" s="50" t="s">
        <v>30</v>
      </c>
      <c r="D15" s="51"/>
    </row>
    <row r="16" spans="2:4" x14ac:dyDescent="0.25">
      <c r="B16" s="49"/>
      <c r="C16" s="52"/>
      <c r="D16" s="51"/>
    </row>
    <row r="17" spans="2:4" ht="120" x14ac:dyDescent="0.25">
      <c r="B17" s="49"/>
      <c r="C17" s="50" t="s">
        <v>31</v>
      </c>
      <c r="D17" s="51"/>
    </row>
    <row r="18" spans="2:4" ht="15.75" thickBot="1" x14ac:dyDescent="0.3">
      <c r="B18" s="53"/>
      <c r="C18" s="54"/>
      <c r="D18" s="55"/>
    </row>
  </sheetData>
  <sheetProtection algorithmName="SHA-512" hashValue="XFphfzKYwP8pacS9PmqzbhueMlNvnGQfiTVpAliHz+KLPBR2eCytPTefqeTeaaSC16gG0CMZFzwC4++ub7DO9Q==" saltValue="mIuCgLNgfQWqRodAmkRvfg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122414-A42F-495B-A1C5-EBD050764663}">
  <dimension ref="B2:K21"/>
  <sheetViews>
    <sheetView showGridLines="0" tabSelected="1" zoomScale="85" zoomScaleNormal="85" workbookViewId="0"/>
  </sheetViews>
  <sheetFormatPr baseColWidth="10" defaultRowHeight="15" x14ac:dyDescent="0.25"/>
  <cols>
    <col min="1" max="2" width="2.7109375" customWidth="1"/>
    <col min="3" max="4" width="23.42578125" customWidth="1"/>
    <col min="5" max="5" width="22.7109375" customWidth="1"/>
    <col min="6" max="8" width="2.7109375" customWidth="1"/>
    <col min="9" max="9" width="16.42578125" customWidth="1"/>
    <col min="10" max="10" width="19.140625" customWidth="1"/>
    <col min="11" max="11" width="2.7109375" customWidth="1"/>
    <col min="12" max="12" width="4.85546875" customWidth="1"/>
  </cols>
  <sheetData>
    <row r="2" spans="2:11" x14ac:dyDescent="0.25">
      <c r="B2" s="19"/>
      <c r="C2" s="81" t="str" cm="1">
        <f t="array" ref="C2">_xlfn.IFS(OR($C$6='Valores de referencia'!$B$5,$C$6='Valores de referencia'!$B$6),"Sistema de Generación",$C$6='Valores de referencia'!#REF!,"Sistema de reciclaje",TRUE,"")</f>
        <v>Sistema de Generación</v>
      </c>
      <c r="D2" s="81"/>
      <c r="E2" s="81"/>
      <c r="F2" s="20"/>
      <c r="H2" s="19"/>
      <c r="I2" s="81" t="str" cm="1">
        <f t="array" ref="I2">_xlfn.IFS(OR($C$6='Valores de referencia'!$B$5,$C$6='Valores de referencia'!$B$6),"Sistema de Almacenamiento",$C$6='Valores de referencia'!#REF!,"",TRUE,"")</f>
        <v>Sistema de Almacenamiento</v>
      </c>
      <c r="J2" s="81"/>
      <c r="K2" s="20"/>
    </row>
    <row r="3" spans="2:11" x14ac:dyDescent="0.25">
      <c r="B3" s="12"/>
      <c r="F3" s="13"/>
      <c r="H3" s="12"/>
      <c r="K3" s="13"/>
    </row>
    <row r="4" spans="2:11" s="7" customFormat="1" ht="69" customHeight="1" x14ac:dyDescent="0.25">
      <c r="B4" s="14"/>
      <c r="C4" s="83" t="str">
        <f>IF(OR($C$6="",$E$6=""),"N/A","PROGRAMA")</f>
        <v>PROGRAMA</v>
      </c>
      <c r="D4" s="83"/>
      <c r="E4" s="9" t="str">
        <f>IF(OR($C$6="",$E$6=""),"N/A","¿Proyecto en municipio de Reto Demográfico o incluido en los Convenios de Transición Justa?")</f>
        <v>¿Proyecto en municipio de Reto Demográfico o incluido en los Convenios de Transición Justa?</v>
      </c>
      <c r="F4" s="15"/>
      <c r="H4" s="14"/>
      <c r="I4" s="75" t="str">
        <f>IF(AND($I$10&gt;0,$J$10&gt;0),"La actuación incluye sistema de almacenamiento","La actuación NO incluye sistema de almacenamiento")</f>
        <v>La actuación incluye sistema de almacenamiento</v>
      </c>
      <c r="J4" s="76"/>
      <c r="K4" s="15"/>
    </row>
    <row r="5" spans="2:11" s="7" customFormat="1" ht="30" customHeight="1" x14ac:dyDescent="0.25">
      <c r="B5" s="14"/>
      <c r="C5" s="83"/>
      <c r="D5" s="83"/>
      <c r="E5" s="8" t="str">
        <f>IF(E4&lt;&gt;"N/A","(ayuda adicional)","")</f>
        <v>(ayuda adicional)</v>
      </c>
      <c r="F5" s="15"/>
      <c r="H5" s="14"/>
      <c r="I5" s="77"/>
      <c r="J5" s="78"/>
      <c r="K5" s="15"/>
    </row>
    <row r="6" spans="2:11" ht="45.75" customHeight="1" x14ac:dyDescent="0.25">
      <c r="B6" s="12"/>
      <c r="C6" s="84" t="s">
        <v>20</v>
      </c>
      <c r="D6" s="85"/>
      <c r="E6" s="65" t="s">
        <v>18</v>
      </c>
      <c r="F6" s="13"/>
      <c r="H6" s="12"/>
      <c r="I6" s="79"/>
      <c r="J6" s="80"/>
      <c r="K6" s="13"/>
    </row>
    <row r="7" spans="2:11" x14ac:dyDescent="0.25">
      <c r="B7" s="12"/>
      <c r="F7" s="13"/>
      <c r="H7" s="12"/>
      <c r="K7" s="13"/>
    </row>
    <row r="8" spans="2:11" ht="75" x14ac:dyDescent="0.25">
      <c r="B8" s="12"/>
      <c r="C8" s="9" t="str" cm="1">
        <f t="array" ref="C8">_xlfn.IFS(OR($C$6="",$E$6=""),"N/A",OR($C$6='Valores de referencia'!$B$5,$C$6='Valores de referencia'!$B$6),"Suma de costes elegibles del sistema de generación" &amp; CHAR(10) &amp; "(€)",$C$6='Valores de referencia'!#REF!,"Suma de costes elegibles del proyecto" &amp; CHAR(10) &amp; "(€)",TRUE,"N/A")</f>
        <v>Suma de costes elegibles del sistema de generación
(€)</v>
      </c>
      <c r="D8" s="9" t="str" cm="1">
        <f t="array" ref="D8">_xlfn.IFS(OR($C$6="",$E$6=""),"N/A",OR($C$6='Valores de referencia'!$B$5,$C$6='Valores de referencia'!$B$6),"Potencia de generación estimada" &amp; CHAR(10) &amp; "(Ps) (MW)",$C$6='Valores de referencia'!#REF!,"Capacidad anual estimada de tratamiento"  &amp; CHAR(10) &amp; "(Cat) (ton/año)",TRUE,"N/A")</f>
        <v>Potencia de generación estimada
(Ps) (MW)</v>
      </c>
      <c r="E8" s="9" t="str">
        <f>IF(OR($C$6="",$E$6=""),"N/A","Ayuda solicitada
(€)")</f>
        <v>Ayuda solicitada
(€)</v>
      </c>
      <c r="F8" s="13"/>
      <c r="H8" s="12"/>
      <c r="I8" s="62" t="str" cm="1">
        <f t="array" ref="I8">_xlfn.IFS(OR($C$6="",$E$6=""),"N/A",OR($C$6='Valores de referencia'!$B$5,$C$6='Valores de referencia'!$B$6),"Suma de costes elegibles del sistema de almacenamiento" &amp; CHAR(10) &amp; "(€)",$C$6='Valores de referencia'!#REF!,"N/A",TRUE,"N/A")</f>
        <v>Suma de costes elegibles del sistema de almacenamiento
(€)</v>
      </c>
      <c r="J8" s="9" t="str" cm="1">
        <f t="array" ref="J8">_xlfn.IFS(OR($C$6="",$E$6=""),"N/A",OR($C$6='Valores de referencia'!$B$5,$C$6='Valores de referencia'!$B$6),"capacidad estimada del sistema de almacenamiento" &amp; CHAR(10) &amp; "(Cap) (MWh)",$C$6='Valores de referencia'!#REF!,"N/A",TRUE,"N/A")</f>
        <v>capacidad estimada del sistema de almacenamiento
(Cap) (MWh)</v>
      </c>
      <c r="K8" s="13"/>
    </row>
    <row r="9" spans="2:11" ht="30" x14ac:dyDescent="0.25">
      <c r="B9" s="12"/>
      <c r="C9" s="8" t="str">
        <f>IF(C8&lt;&gt;"N/A","(redondear a 0 decimales)","")</f>
        <v>(redondear a 0 decimales)</v>
      </c>
      <c r="D9" s="8" t="str">
        <f>IF(D8&lt;&gt;"N/A","(redondear a 3 decimales)","")</f>
        <v>(redondear a 3 decimales)</v>
      </c>
      <c r="E9" s="8" t="str">
        <f>IF(E8&lt;&gt;"N/A","(redondear a 0 decimales)","")</f>
        <v>(redondear a 0 decimales)</v>
      </c>
      <c r="F9" s="13"/>
      <c r="H9" s="12"/>
      <c r="I9" s="63" t="str">
        <f>IF(I8&lt;&gt;"N/A","(redondar a 0 decimales)","")</f>
        <v>(redondar a 0 decimales)</v>
      </c>
      <c r="J9" s="8" t="str">
        <f>IF(J8&lt;&gt;"N/A","(redondear a 3 decimales)","")</f>
        <v>(redondear a 3 decimales)</v>
      </c>
      <c r="K9" s="13"/>
    </row>
    <row r="10" spans="2:11" x14ac:dyDescent="0.25">
      <c r="B10" s="12"/>
      <c r="C10" s="22">
        <v>30000000</v>
      </c>
      <c r="D10" s="23">
        <v>30</v>
      </c>
      <c r="E10" s="24">
        <v>9000000</v>
      </c>
      <c r="F10" s="13"/>
      <c r="H10" s="12"/>
      <c r="I10" s="61">
        <v>1000000</v>
      </c>
      <c r="J10" s="64">
        <v>10</v>
      </c>
      <c r="K10" s="13"/>
    </row>
    <row r="11" spans="2:11" ht="15" customHeight="1" x14ac:dyDescent="0.25">
      <c r="B11" s="12"/>
      <c r="F11" s="13"/>
      <c r="H11" s="12"/>
      <c r="K11" s="13"/>
    </row>
    <row r="12" spans="2:11" ht="90" customHeight="1" x14ac:dyDescent="0.25">
      <c r="B12" s="12"/>
      <c r="C12" s="86" t="str" cm="1">
        <f t="array" ref="C12">_xlfn.IFS(OR($C$6="",$E$6=""),"N/A",OR($C$6='Valores de referencia'!$B$5,$C$6='Valores de referencia'!$B$6),"Coste subvencionable unitario máximo sist. generación" &amp; CHAR(10) &amp; "(Csum) (€/MW)",$C$6='Valores de referencia'!#REF!,"Coste subvencionable unitario máximo sist. reciclaje" &amp; CHAR(10) &amp; "(Csum) (€/ton-año)",TRUE,"N/A")</f>
        <v>Coste subvencionable unitario máximo sist. generación
(Csum) (€/MW)</v>
      </c>
      <c r="D12" s="86"/>
      <c r="E12" s="11" t="str" cm="1">
        <f t="array" ref="E12">_xlfn.IFS(OR($C$6="",$E$6=""),"N/A",OR($C$6='Valores de referencia'!$B$5,$C$6='Valores de referencia'!$B$6),"Intensidad de ayuda a aplicar sist. generación" &amp; CHAR(10) &amp; "(%)",$C$6='Valores de referencia'!#REF!,"Intensidad de ayuda a aplicar sist. reciclaje" &amp; CHAR(10) &amp; "(%)",TRUE,"N/A")</f>
        <v>Intensidad de ayuda a aplicar sist. generación
(%)</v>
      </c>
      <c r="F12" s="13"/>
      <c r="H12" s="12"/>
      <c r="I12" s="11" t="str" cm="1">
        <f t="array" ref="I12">_xlfn.IFS(OR($C$6="",$E$6=""),"N/A",OR($C$6='Valores de referencia'!$B$5,$C$6='Valores de referencia'!$B$6),"Coste subvencionable unitario máximo sist. Almacenamiento " &amp; CHAR(10) &amp; "(Csum) (€/MWh)",$C$6='Valores de referencia'!#REF!,"N/A",TRUE,"N/A")</f>
        <v>Coste subvencionable unitario máximo sist. Almacenamiento 
(Csum) (€/MWh)</v>
      </c>
      <c r="J12" s="11" t="str" cm="1">
        <f t="array" ref="J12">_xlfn.IFS(OR($C$6="",$E$6=""),"N/A",OR($C$6='Valores de referencia'!$B$5,$C$6='Valores de referencia'!$B$6),"Intensidad de ayuda a aplicar sist. almacenamiento" &amp; CHAR(10) &amp; "(%)",$C$6='Valores de referencia'!#REF!,"N/A",TRUE,"N/A")</f>
        <v>Intensidad de ayuda a aplicar sist. almacenamiento
(%)</v>
      </c>
      <c r="K12" s="13"/>
    </row>
    <row r="13" spans="2:11" x14ac:dyDescent="0.25">
      <c r="B13" s="12"/>
      <c r="C13" s="87">
        <f>IF($C$6="","",VLOOKUP($C$6,'Valores de referencia'!$B$5:$D$6,2,FALSE))</f>
        <v>1300000</v>
      </c>
      <c r="D13" s="87"/>
      <c r="E13" s="69">
        <f>IF($C$6="","",VLOOKUP($C$6,'Valores de referencia'!$B$5:$D$6,3,0)+IF($E$6="SI",'Valores de referencia'!$C$9,0))</f>
        <v>0.39999999999999997</v>
      </c>
      <c r="F13" s="13"/>
      <c r="H13" s="12"/>
      <c r="I13" s="68">
        <f>IF($C$6="","",IF(OR(ROUND(J$10,3)=0,J$10=""),0,'Valores de referencia'!$C$7))</f>
        <v>300000</v>
      </c>
      <c r="J13" s="70">
        <f>IF($C$6="","",IF(OR(ROUND(J$10,3)=0,J$10=""),0,'Valores de referencia'!$D$7)+IF($E$6="SI",'Valores de referencia'!$C$9,0))</f>
        <v>0.39999999999999997</v>
      </c>
      <c r="K13" s="13"/>
    </row>
    <row r="14" spans="2:11" x14ac:dyDescent="0.25">
      <c r="B14" s="12"/>
      <c r="F14" s="13"/>
      <c r="H14" s="12"/>
      <c r="K14" s="13"/>
    </row>
    <row r="15" spans="2:11" ht="75.75" thickBot="1" x14ac:dyDescent="0.3">
      <c r="B15" s="12"/>
      <c r="C15" s="10" t="str" cm="1">
        <f t="array" ref="C15">_xlfn.IFS(OR($C$6="",$E$6=""),"N/A",OR($C$6='Valores de referencia'!$B$5,$C$6='Valores de referencia'!$B$6),"Coste subvencionable  de generación" &amp; CHAR(10) &amp; "(Cs) (€)",$C$6='Valores de referencia'!#REF!,"Coste subvencionable  de economía circular" &amp; CHAR(10) &amp; "(Cs) (€)",TRUE,"N/A")</f>
        <v>Coste subvencionable  de generación
(Cs) (€)</v>
      </c>
      <c r="D15" s="10" t="str" cm="1">
        <f t="array" ref="D15">_xlfn.IFS(OR($C$6="",$E$6=""),"N/A",OR($C$6='Valores de referencia'!$B$5,$C$6='Valores de referencia'!$B$6),"Ayuda máxima  de generación" &amp; CHAR(10) &amp; "(€)",$C$6='Valores de referencia'!#REF!,"Ayuda máxima  de economía circular" &amp; CHAR(10) &amp; "(€)",TRUE,"N/A")</f>
        <v>Ayuda máxima  de generación
(€)</v>
      </c>
      <c r="E15" s="32" t="str">
        <f>IF(OR($C$6="",$E$6=""),"N/A","Ayuda total máxima 
(€)")</f>
        <v>Ayuda total máxima 
(€)</v>
      </c>
      <c r="F15" s="13"/>
      <c r="H15" s="12"/>
      <c r="I15" s="10" t="str" cm="1">
        <f t="array" ref="I15">_xlfn.IFS(OR($C$6="",$E$6=""),"N/A",OR($C$6='Valores de referencia'!$B$5,$C$6='Valores de referencia'!$B$6),"Coste subvencionable de  almacenamiento" &amp; CHAR(10) &amp; "(Cs) (€)",$C$6='Valores de referencia'!#REF!,"N/A",TRUE,"N/A")</f>
        <v>Coste subvencionable de  almacenamiento
(Cs) (€)</v>
      </c>
      <c r="J15" s="10" t="str" cm="1">
        <f t="array" ref="J15">_xlfn.IFS(OR($C$6="",$E$6=""),"N/A",OR($C$6='Valores de referencia'!$B$5,$C$6='Valores de referencia'!$B$6),"Ayuda máxima de  almacenamiento" &amp; CHAR(10) &amp; "(€)",$C$6='Valores de referencia'!#REF!,"N/A",TRUE,"N/A")</f>
        <v>Ayuda máxima de  almacenamiento
(€)</v>
      </c>
      <c r="K15" s="13"/>
    </row>
    <row r="16" spans="2:11" ht="15.75" thickBot="1" x14ac:dyDescent="0.3">
      <c r="B16" s="12"/>
      <c r="C16" s="71">
        <f>IF($C$6="","",IFERROR(MIN(MAX(ROUND($C$10,0)/IF($C$6='Valores de referencia'!$B$6,MIN(ROUND($D$10,3),'Valores de referencia'!$C$10),ROUND($D$10,3)),0),$C$13)*IF($C$6='Valores de referencia'!$B$6,MIN(ROUND($D$10,3),'Valores de referencia'!$C$10),ROUND($D$10,3)),"-"))</f>
        <v>30000000</v>
      </c>
      <c r="D16" s="72" cm="1">
        <f t="array" ref="D16">IF($C$6="","",IFERROR(MIN($C$16*$E$13,'Valores de referencia'!$C$11*($C$16*$E$13/($C$16*$E$13+_xlfn.IFS(OR(ROUND(J$10,3)=0,J$10=""),0,TRUE,$I$16*$J$13)))),"-"))</f>
        <v>11999999.999999998</v>
      </c>
      <c r="E16" s="73">
        <f>IF($C$6="","",IFERROR($D$16+$J$16,"-"))</f>
        <v>12399999.999999998</v>
      </c>
      <c r="F16" s="13"/>
      <c r="H16" s="12"/>
      <c r="I16" s="71" cm="1">
        <f t="array" ref="I16">IF($C$6="","",_xlfn.IFS(OR(ROUND(J$10,3)=0,J$10=""),0,TRUE,MIN(ROUND($I$10,0)/ROUND(J$10,3),$I$13)*ROUND(J$10,3)))</f>
        <v>1000000</v>
      </c>
      <c r="J16" s="68" cm="1">
        <f t="array" ref="J16">IF($C$6="","",_xlfn.IFS(OR(ROUND(J$10,3)=0,J$10=""),0,TRUE,MIN($I$16*$J$13,'Valores de referencia'!$C$11*(_xlfn.IFS(OR(ROUND(J$10,3)=0,J$10=""),0,TRUE,$I$16*$J$13)/($C$16*$E$13+_xlfn.IFS(OR(ROUND(J$10,3)=0,J$10=""),0,TRUE,$I$16*$J$13))))))</f>
        <v>399999.99999999994</v>
      </c>
      <c r="K16" s="13"/>
    </row>
    <row r="17" spans="2:11" x14ac:dyDescent="0.25">
      <c r="B17" s="16"/>
      <c r="C17" s="17"/>
      <c r="D17" s="17"/>
      <c r="E17" s="17"/>
      <c r="F17" s="18"/>
      <c r="H17" s="16"/>
      <c r="I17" s="17"/>
      <c r="J17" s="17"/>
      <c r="K17" s="18"/>
    </row>
    <row r="18" spans="2:11" ht="15.75" thickBot="1" x14ac:dyDescent="0.3"/>
    <row r="19" spans="2:11" ht="38.25" customHeight="1" thickBot="1" x14ac:dyDescent="0.3">
      <c r="B19" s="33"/>
      <c r="C19" s="59" t="str" cm="1">
        <f t="array" ref="C19">IF(OR($C$6="",$E$6=""),"",_xlfn.IFS(OR(ISNUMBER($D$10)=FALSE,$D$10&lt;=0,ISNUMBER($C$10)=FALSE,$C$10&lt;=0),"NO OK",ISNUMBER($E$10)=FALSE,"NO OK",$E$10&lt;0,"NO OK",$E$10&gt;$E$16,"NO OK",TRUE,"OK"))</f>
        <v>OK</v>
      </c>
      <c r="D19" s="82" t="str" cm="1">
        <f t="array" ref="D19">IF(OR($C$6="",$E$6=""),"",_xlfn.IFS(OR(ISNUMBER($D$10)=FALSE,ROUND($D$10,3)&lt;=0),"La potencia debe ser un valor numérico mayor que cero",ISNUMBER($E$10)=FALSE,"La ayuda solicitada debe ser un valor numérico",ROUND($E$10,0)&lt;0,"La ayuda solicitada no puede ser negativa",ROUND($E$10,0)&gt;$E$16,"La ayuda solicitada no puede ser mayor que la Ayuda total máxima",TRUE,"Valoración criterio económico:" &amp; CHAR(10) &amp; ROUND(VLOOKUP($C$6,'Valores de referencia'!$B$14:$C$15,2,FALSE)*($E$16-ROUND($E$10,0))/$E$16,2) &amp; " (sobre " &amp; VLOOKUP($C$6,'Valores de referencia'!$B$14:$C$15,2,FALSE) &amp; ")"))</f>
        <v>Valoración criterio económico:
8,23 (sobre 30)</v>
      </c>
      <c r="E19" s="82"/>
      <c r="F19" s="58"/>
      <c r="G19" s="57"/>
    </row>
    <row r="20" spans="2:11" ht="15" customHeight="1" x14ac:dyDescent="0.25">
      <c r="C20" s="21"/>
      <c r="D20" s="21"/>
      <c r="E20" s="21"/>
      <c r="F20" s="21"/>
    </row>
    <row r="21" spans="2:11" x14ac:dyDescent="0.25">
      <c r="B21" s="21"/>
      <c r="C21" s="21"/>
      <c r="D21" s="21"/>
      <c r="E21" s="21"/>
      <c r="F21" s="21"/>
    </row>
  </sheetData>
  <sheetProtection algorithmName="SHA-512" hashValue="4Iz35EnemKc1dUyWazjvd0aKe06K+TzfYeEboqVAPDQnYwlJXd5HW/pg3gs2clX9Ejggwj8UVOrPeWPsZFvctg==" saltValue="C+GQAc3r2il+o65MwCIHBg==" spinCount="100000" sheet="1" objects="1" scenarios="1"/>
  <mergeCells count="8">
    <mergeCell ref="I4:J6"/>
    <mergeCell ref="C2:E2"/>
    <mergeCell ref="I2:J2"/>
    <mergeCell ref="D19:E19"/>
    <mergeCell ref="C4:D5"/>
    <mergeCell ref="C6:D6"/>
    <mergeCell ref="C12:D12"/>
    <mergeCell ref="C13:D13"/>
  </mergeCells>
  <conditionalFormatting sqref="B19:D19">
    <cfRule type="expression" dxfId="12" priority="18">
      <formula>$C$19="NO OK"</formula>
    </cfRule>
    <cfRule type="expression" dxfId="11" priority="20">
      <formula>$C$19="OK"</formula>
    </cfRule>
  </conditionalFormatting>
  <conditionalFormatting sqref="E10 E16">
    <cfRule type="expression" dxfId="10" priority="15">
      <formula>AND(ISNUMBER($E$10),$E$10&gt;0,$E$10&gt;$E$16)</formula>
    </cfRule>
  </conditionalFormatting>
  <conditionalFormatting sqref="F19">
    <cfRule type="expression" dxfId="9" priority="1">
      <formula>$C$19="NO OK"</formula>
    </cfRule>
    <cfRule type="expression" dxfId="8" priority="2">
      <formula>$C$19="OK"</formula>
    </cfRule>
  </conditionalFormatting>
  <conditionalFormatting sqref="H2:I2 K2:K17 H3:J3 H4:H6 H7:J10 H11 H12:J17">
    <cfRule type="expression" dxfId="7" priority="3">
      <formula>OR($C$6="",$E$6="")</formula>
    </cfRule>
  </conditionalFormatting>
  <conditionalFormatting sqref="I12:I13">
    <cfRule type="expression" dxfId="5" priority="11">
      <formula>$I$12="N/A"</formula>
    </cfRule>
  </conditionalFormatting>
  <conditionalFormatting sqref="I15:I16">
    <cfRule type="expression" dxfId="4" priority="9">
      <formula>$I$15="N/A"</formula>
    </cfRule>
  </conditionalFormatting>
  <conditionalFormatting sqref="I8:J10">
    <cfRule type="expression" dxfId="3" priority="14">
      <formula>$I$8="N/A"</formula>
    </cfRule>
  </conditionalFormatting>
  <conditionalFormatting sqref="J8:J10">
    <cfRule type="expression" dxfId="2" priority="23">
      <formula>$J$8="N/A"</formula>
    </cfRule>
  </conditionalFormatting>
  <conditionalFormatting sqref="J12:J13">
    <cfRule type="expression" dxfId="1" priority="10">
      <formula>$J$12="N/A"</formula>
    </cfRule>
  </conditionalFormatting>
  <conditionalFormatting sqref="J15:J16">
    <cfRule type="expression" dxfId="0" priority="8">
      <formula>$J$15="N/A"</formula>
    </cfRule>
  </conditionalFormatting>
  <dataValidations count="2">
    <dataValidation type="whole" allowBlank="1" showInputMessage="1" showErrorMessage="1" sqref="I10 C10 E10" xr:uid="{26C42706-9549-430A-B09A-5B6077F9AC17}">
      <formula1>0</formula1>
      <formula2>C10</formula2>
    </dataValidation>
    <dataValidation type="decimal" allowBlank="1" showInputMessage="1" showErrorMessage="1" sqref="D10 F10 J10" xr:uid="{ABDDD703-38C6-49C6-8E5F-773EBF909E54}">
      <formula1>0</formula1>
      <formula2>D10</formula2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4" id="{9033077B-AC95-4212-9981-43A3165CB2D4}">
            <xm:f>$C$6='Valores de referencia'!#REF!</xm:f>
            <x14:dxf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H2:I2 K2:K17 H3:J3 H4:H6 H7:J10 H11 H12:J17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6F715AF-05EA-4E35-A376-3BF82B60CCCA}">
          <x14:formula1>
            <xm:f>'Valores de referencia'!$B$5:$B$6</xm:f>
          </x14:formula1>
          <xm:sqref>C6</xm:sqref>
        </x14:dataValidation>
        <x14:dataValidation type="list" allowBlank="1" showInputMessage="1" showErrorMessage="1" xr:uid="{D23999C1-39B2-4684-BCE1-7D0208DBEF65}">
          <x14:formula1>
            <xm:f>'Valores de referencia'!$B$19:$B$20</xm:f>
          </x14:formula1>
          <xm:sqref>E6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B5533-4E92-4D01-8904-14B4E697DF6E}">
  <dimension ref="A2:F21"/>
  <sheetViews>
    <sheetView showGridLines="0" zoomScale="85" zoomScaleNormal="85" workbookViewId="0"/>
  </sheetViews>
  <sheetFormatPr baseColWidth="10" defaultRowHeight="15" x14ac:dyDescent="0.25"/>
  <cols>
    <col min="1" max="1" width="4.140625" customWidth="1"/>
    <col min="2" max="2" width="56" customWidth="1"/>
    <col min="3" max="3" width="29.5703125" customWidth="1"/>
    <col min="4" max="4" width="29.28515625" customWidth="1"/>
    <col min="5" max="5" width="21.140625" customWidth="1"/>
    <col min="6" max="6" width="8.28515625" customWidth="1"/>
  </cols>
  <sheetData>
    <row r="2" spans="1:6" x14ac:dyDescent="0.25">
      <c r="A2" s="7"/>
      <c r="C2" s="91" t="s">
        <v>14</v>
      </c>
      <c r="D2" s="92"/>
    </row>
    <row r="3" spans="1:6" s="3" customFormat="1" ht="47.25" customHeight="1" x14ac:dyDescent="0.25">
      <c r="A3" s="7"/>
      <c r="C3" s="89" t="s">
        <v>15</v>
      </c>
      <c r="D3" s="89" t="s">
        <v>21</v>
      </c>
      <c r="E3" s="1"/>
    </row>
    <row r="4" spans="1:6" s="3" customFormat="1" x14ac:dyDescent="0.25">
      <c r="A4" s="7"/>
      <c r="C4" s="90"/>
      <c r="D4" s="90"/>
      <c r="E4" s="1"/>
    </row>
    <row r="5" spans="1:6" x14ac:dyDescent="0.25">
      <c r="A5" s="7"/>
      <c r="B5" s="25" t="s">
        <v>20</v>
      </c>
      <c r="C5" s="67">
        <v>1300000</v>
      </c>
      <c r="D5" s="28">
        <v>0.35</v>
      </c>
      <c r="E5" s="5"/>
    </row>
    <row r="6" spans="1:6" x14ac:dyDescent="0.25">
      <c r="A6" s="7"/>
      <c r="B6" s="25" t="s">
        <v>19</v>
      </c>
      <c r="C6" s="67">
        <v>2140000</v>
      </c>
      <c r="D6" s="28">
        <v>0.35</v>
      </c>
      <c r="E6" s="5"/>
    </row>
    <row r="7" spans="1:6" x14ac:dyDescent="0.25">
      <c r="A7" s="7"/>
      <c r="B7" s="25" t="s">
        <v>27</v>
      </c>
      <c r="C7" s="67">
        <v>300000</v>
      </c>
      <c r="D7" s="28">
        <v>0.35</v>
      </c>
      <c r="E7" s="5"/>
    </row>
    <row r="8" spans="1:6" x14ac:dyDescent="0.25">
      <c r="A8" s="7"/>
      <c r="C8" s="2"/>
      <c r="D8" s="2"/>
      <c r="E8" s="2"/>
      <c r="F8" s="5"/>
    </row>
    <row r="9" spans="1:6" x14ac:dyDescent="0.25">
      <c r="A9" s="7"/>
      <c r="B9" s="26" t="s">
        <v>16</v>
      </c>
      <c r="C9" s="28">
        <v>0.05</v>
      </c>
      <c r="D9" s="2"/>
      <c r="E9" s="2"/>
      <c r="F9" s="5"/>
    </row>
    <row r="10" spans="1:6" x14ac:dyDescent="0.25">
      <c r="A10" s="7"/>
      <c r="B10" s="27" t="s">
        <v>17</v>
      </c>
      <c r="C10" s="4">
        <v>50</v>
      </c>
      <c r="D10" s="2"/>
      <c r="E10" s="2"/>
    </row>
    <row r="11" spans="1:6" x14ac:dyDescent="0.25">
      <c r="B11" s="27" t="s">
        <v>26</v>
      </c>
      <c r="C11" s="60">
        <v>30000000</v>
      </c>
      <c r="D11" s="3"/>
      <c r="E11" s="3"/>
    </row>
    <row r="13" spans="1:6" ht="30" x14ac:dyDescent="0.25">
      <c r="B13" s="30"/>
      <c r="C13" s="31" t="s">
        <v>23</v>
      </c>
    </row>
    <row r="14" spans="1:6" x14ac:dyDescent="0.25">
      <c r="B14" s="25" t="str">
        <f>B5</f>
        <v>P1 - Repotenciación de instalaciones eólicas</v>
      </c>
      <c r="C14" s="6">
        <v>30</v>
      </c>
      <c r="E14" s="30"/>
    </row>
    <row r="15" spans="1:6" x14ac:dyDescent="0.25">
      <c r="B15" s="25" t="str">
        <f>B6</f>
        <v>P2 - Renovación de minicentrales hidroeléctricas</v>
      </c>
      <c r="C15" s="6">
        <v>25</v>
      </c>
      <c r="E15" s="7"/>
    </row>
    <row r="16" spans="1:6" s="29" customFormat="1" ht="69" customHeight="1" x14ac:dyDescent="0.25">
      <c r="B16" s="88" t="s">
        <v>22</v>
      </c>
      <c r="C16" s="88"/>
      <c r="D16"/>
      <c r="E16" s="7"/>
    </row>
    <row r="17" spans="2:5" x14ac:dyDescent="0.25">
      <c r="C17" s="66"/>
    </row>
    <row r="18" spans="2:5" ht="15" customHeight="1" x14ac:dyDescent="0.25">
      <c r="B18" s="25" t="s">
        <v>32</v>
      </c>
    </row>
    <row r="19" spans="2:5" ht="15" customHeight="1" x14ac:dyDescent="0.25">
      <c r="B19" s="74" t="s">
        <v>18</v>
      </c>
      <c r="D19" s="66"/>
      <c r="E19" s="66"/>
    </row>
    <row r="20" spans="2:5" ht="15" customHeight="1" x14ac:dyDescent="0.25">
      <c r="B20" s="74" t="s">
        <v>1</v>
      </c>
    </row>
    <row r="21" spans="2:5" ht="62.25" customHeight="1" x14ac:dyDescent="0.25"/>
  </sheetData>
  <sheetProtection algorithmName="SHA-512" hashValue="SfFGnvAKgh0aa0WQcdqSRg9MK/XsOQknU1YdpuTqSnjlxJxR3gmonMC+bbI6rG9apBkdU4DQ+ejTcUSeH4PO7w==" saltValue="YYoW88CbxeL0OCiXp9lcnA==" spinCount="100000" sheet="1" objects="1" scenarios="1"/>
  <mergeCells count="4">
    <mergeCell ref="B16:C16"/>
    <mergeCell ref="D3:D4"/>
    <mergeCell ref="C2:D2"/>
    <mergeCell ref="C3:C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B23"/>
  <sheetViews>
    <sheetView zoomScale="90" zoomScaleNormal="90" workbookViewId="0">
      <selection activeCell="B24" sqref="B24"/>
    </sheetView>
  </sheetViews>
  <sheetFormatPr baseColWidth="10" defaultRowHeight="15" x14ac:dyDescent="0.25"/>
  <cols>
    <col min="2" max="2" width="12.85546875" bestFit="1" customWidth="1"/>
  </cols>
  <sheetData>
    <row r="2" spans="2:2" x14ac:dyDescent="0.25">
      <c r="B2" t="s">
        <v>0</v>
      </c>
    </row>
    <row r="3" spans="2:2" x14ac:dyDescent="0.25">
      <c r="B3" t="s">
        <v>1</v>
      </c>
    </row>
    <row r="7" spans="2:2" x14ac:dyDescent="0.25">
      <c r="B7" t="s">
        <v>10</v>
      </c>
    </row>
    <row r="8" spans="2:2" x14ac:dyDescent="0.25">
      <c r="B8" t="s">
        <v>11</v>
      </c>
    </row>
    <row r="9" spans="2:2" x14ac:dyDescent="0.25">
      <c r="B9" t="s">
        <v>12</v>
      </c>
    </row>
    <row r="13" spans="2:2" x14ac:dyDescent="0.25">
      <c r="B13" t="s">
        <v>2</v>
      </c>
    </row>
    <row r="14" spans="2:2" x14ac:dyDescent="0.25">
      <c r="B14" t="s">
        <v>3</v>
      </c>
    </row>
    <row r="18" spans="2:2" x14ac:dyDescent="0.25">
      <c r="B18" t="s">
        <v>4</v>
      </c>
    </row>
    <row r="19" spans="2:2" x14ac:dyDescent="0.25">
      <c r="B19" t="s">
        <v>5</v>
      </c>
    </row>
    <row r="20" spans="2:2" x14ac:dyDescent="0.25">
      <c r="B20" t="s">
        <v>6</v>
      </c>
    </row>
    <row r="21" spans="2:2" x14ac:dyDescent="0.25">
      <c r="B21" t="s">
        <v>7</v>
      </c>
    </row>
    <row r="22" spans="2:2" x14ac:dyDescent="0.25">
      <c r="B22" t="s">
        <v>8</v>
      </c>
    </row>
    <row r="23" spans="2:2" x14ac:dyDescent="0.25">
      <c r="B23" t="s">
        <v>9</v>
      </c>
    </row>
  </sheetData>
  <sheetProtection algorithmName="SHA-512" hashValue="17McoIlcBL5BXDt6zrMrLq1DdahHbdztnv0qr1PfEc/wf++lTlVSrit0bmCi0KALVOkkn0hzbOpmEVNkaTWwdQ==" saltValue="j5JqtlIbVG5iugUkC7j04A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Instrucciones</vt:lpstr>
      <vt:lpstr>Cálculos</vt:lpstr>
      <vt:lpstr>Valores de referencia</vt:lpstr>
      <vt:lpstr>Listas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Julio Artigas Cano de Santayana</dc:creator>
  <cp:lastModifiedBy>Juanra</cp:lastModifiedBy>
  <cp:lastPrinted>2021-07-29T09:58:05Z</cp:lastPrinted>
  <dcterms:created xsi:type="dcterms:W3CDTF">2021-07-22T09:49:32Z</dcterms:created>
  <dcterms:modified xsi:type="dcterms:W3CDTF">2026-01-13T18:49:03Z</dcterms:modified>
</cp:coreProperties>
</file>